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32" documentId="13_ncr:1_{014B92C9-82EF-4162-994B-58DA059768D0}" xr6:coauthVersionLast="47" xr6:coauthVersionMax="47" xr10:uidLastSave="{7ED835AE-F032-4FE2-87A6-795800997561}"/>
  <bookViews>
    <workbookView xWindow="28680" yWindow="-120" windowWidth="29040" windowHeight="15720" activeTab="1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<sst xmlns="http://schemas.openxmlformats.org/spreadsheetml/2006/main" count="29" uniqueCount="17">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</sst>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16799</c:v>
                </c:pt>
                <c:pt idx="6">
                  <c:v>16469</c:v>
                </c:pt>
                <c:pt idx="7">
                  <c:v>17616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33609</c:v>
                </c:pt>
                <c:pt idx="6">
                  <c:v>37955</c:v>
                </c:pt>
                <c:pt idx="7">
                  <c:v>35841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4402.9829339999997</c:v>
                </c:pt>
                <c:pt idx="5">
                  <c:v>4406.5907380000017</c:v>
                </c:pt>
                <c:pt idx="6">
                  <c:v>3767.2493190000005</c:v>
                </c:pt>
                <c:pt idx="7">
                  <c:v>4723.0390929999985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12569.946422000001</c:v>
                </c:pt>
                <c:pt idx="6">
                  <c:v>14207.535373999999</c:v>
                </c:pt>
                <c:pt idx="7">
                  <c:v>13665.047744000001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133350</xdr:rowOff>
        </xdr:from>
        <xdr:to>
          <xdr:col>11</xdr:col>
          <xdr:colOff>581025</xdr:colOff>
          <xdr:row>14</xdr:row>
          <xdr:rowOff>57150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zoomScale="110" zoomScaleNormal="110" workbookViewId="0">
      <pane xSplit="1" ySplit="5" topLeftCell="B257" activePane="bottomRight" state="frozen"/>
      <selection activeCell="G16" sqref="G16"/>
      <selection pane="topRight" activeCell="G16" sqref="G16"/>
      <selection pane="bottomLeft" activeCell="G16" sqref="G16"/>
      <selection pane="bottomRight" activeCell="B270" sqref="B270:G277"/>
    </sheetView>
  </sheetViews>
  <sheetFormatPr defaultRowHeight="12.75" x14ac:dyDescent="0.2"/>
  <cols>
    <col min="6" max="7" width="10" bestFit="1" customWidth="1"/>
    <col min="8" max="8" width="14" bestFit="1" customWidth="1"/>
    <col min="9" max="9" width="13.5703125" bestFit="1" customWidth="1"/>
  </cols>
  <sheetData>
    <row r="1" spans="1:7" x14ac:dyDescent="0.2">
      <c r="B1" s="70" t="s">
        <v>11</v>
      </c>
      <c r="C1" s="70"/>
      <c r="D1" s="70"/>
      <c r="E1" s="70"/>
      <c r="F1" s="70"/>
      <c r="G1" s="70"/>
    </row>
    <row r="2" spans="1:7" x14ac:dyDescent="0.2">
      <c r="B2" s="71" t="s">
        <v>0</v>
      </c>
      <c r="C2" s="71"/>
      <c r="D2" s="71"/>
      <c r="E2" s="71"/>
      <c r="F2" s="71"/>
      <c r="G2" s="71"/>
    </row>
    <row r="3" spans="1:7" x14ac:dyDescent="0.2">
      <c r="B3" s="17"/>
      <c r="C3" s="17"/>
      <c r="D3" s="17"/>
      <c r="E3" s="17"/>
      <c r="F3" s="17"/>
      <c r="G3" s="17"/>
    </row>
    <row r="4" spans="1:7" x14ac:dyDescent="0.2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x14ac:dyDescent="0.2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x14ac:dyDescent="0.2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x14ac:dyDescent="0.2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x14ac:dyDescent="0.2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x14ac:dyDescent="0.2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x14ac:dyDescent="0.2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x14ac:dyDescent="0.2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x14ac:dyDescent="0.2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x14ac:dyDescent="0.2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x14ac:dyDescent="0.2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x14ac:dyDescent="0.2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x14ac:dyDescent="0.2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x14ac:dyDescent="0.2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x14ac:dyDescent="0.2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x14ac:dyDescent="0.2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x14ac:dyDescent="0.2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x14ac:dyDescent="0.2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x14ac:dyDescent="0.2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x14ac:dyDescent="0.2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x14ac:dyDescent="0.2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x14ac:dyDescent="0.2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x14ac:dyDescent="0.2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x14ac:dyDescent="0.2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x14ac:dyDescent="0.2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x14ac:dyDescent="0.2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x14ac:dyDescent="0.2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x14ac:dyDescent="0.2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x14ac:dyDescent="0.2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x14ac:dyDescent="0.2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x14ac:dyDescent="0.2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x14ac:dyDescent="0.2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x14ac:dyDescent="0.2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x14ac:dyDescent="0.2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x14ac:dyDescent="0.2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x14ac:dyDescent="0.2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x14ac:dyDescent="0.2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x14ac:dyDescent="0.2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x14ac:dyDescent="0.2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x14ac:dyDescent="0.2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x14ac:dyDescent="0.2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x14ac:dyDescent="0.2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x14ac:dyDescent="0.2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x14ac:dyDescent="0.2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x14ac:dyDescent="0.2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x14ac:dyDescent="0.2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x14ac:dyDescent="0.2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x14ac:dyDescent="0.2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x14ac:dyDescent="0.2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x14ac:dyDescent="0.2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 x14ac:dyDescent="0.2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x14ac:dyDescent="0.2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x14ac:dyDescent="0.2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x14ac:dyDescent="0.2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x14ac:dyDescent="0.2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x14ac:dyDescent="0.2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x14ac:dyDescent="0.2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x14ac:dyDescent="0.2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x14ac:dyDescent="0.2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x14ac:dyDescent="0.2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x14ac:dyDescent="0.2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x14ac:dyDescent="0.2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 x14ac:dyDescent="0.2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x14ac:dyDescent="0.2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x14ac:dyDescent="0.2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x14ac:dyDescent="0.2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x14ac:dyDescent="0.2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x14ac:dyDescent="0.2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x14ac:dyDescent="0.2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x14ac:dyDescent="0.2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x14ac:dyDescent="0.2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x14ac:dyDescent="0.2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x14ac:dyDescent="0.2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x14ac:dyDescent="0.2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 x14ac:dyDescent="0.2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x14ac:dyDescent="0.2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x14ac:dyDescent="0.2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x14ac:dyDescent="0.2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x14ac:dyDescent="0.2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x14ac:dyDescent="0.2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x14ac:dyDescent="0.2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x14ac:dyDescent="0.2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x14ac:dyDescent="0.2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x14ac:dyDescent="0.2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x14ac:dyDescent="0.2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x14ac:dyDescent="0.2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 x14ac:dyDescent="0.2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x14ac:dyDescent="0.2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x14ac:dyDescent="0.2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x14ac:dyDescent="0.2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x14ac:dyDescent="0.2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x14ac:dyDescent="0.2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x14ac:dyDescent="0.2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x14ac:dyDescent="0.2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x14ac:dyDescent="0.2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x14ac:dyDescent="0.2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x14ac:dyDescent="0.2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x14ac:dyDescent="0.2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 x14ac:dyDescent="0.2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x14ac:dyDescent="0.2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x14ac:dyDescent="0.2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x14ac:dyDescent="0.2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x14ac:dyDescent="0.2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x14ac:dyDescent="0.2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x14ac:dyDescent="0.2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x14ac:dyDescent="0.2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x14ac:dyDescent="0.2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x14ac:dyDescent="0.2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x14ac:dyDescent="0.2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x14ac:dyDescent="0.2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 x14ac:dyDescent="0.2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x14ac:dyDescent="0.2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x14ac:dyDescent="0.2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x14ac:dyDescent="0.2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x14ac:dyDescent="0.2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x14ac:dyDescent="0.2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x14ac:dyDescent="0.2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x14ac:dyDescent="0.2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x14ac:dyDescent="0.2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x14ac:dyDescent="0.2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x14ac:dyDescent="0.2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x14ac:dyDescent="0.2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 x14ac:dyDescent="0.2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x14ac:dyDescent="0.2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x14ac:dyDescent="0.2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x14ac:dyDescent="0.2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x14ac:dyDescent="0.2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x14ac:dyDescent="0.2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x14ac:dyDescent="0.2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x14ac:dyDescent="0.2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x14ac:dyDescent="0.2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x14ac:dyDescent="0.2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x14ac:dyDescent="0.2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x14ac:dyDescent="0.2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 x14ac:dyDescent="0.2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x14ac:dyDescent="0.2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x14ac:dyDescent="0.2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x14ac:dyDescent="0.2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x14ac:dyDescent="0.2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x14ac:dyDescent="0.2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x14ac:dyDescent="0.2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x14ac:dyDescent="0.2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x14ac:dyDescent="0.2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x14ac:dyDescent="0.2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x14ac:dyDescent="0.2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x14ac:dyDescent="0.2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 x14ac:dyDescent="0.2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x14ac:dyDescent="0.2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x14ac:dyDescent="0.2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x14ac:dyDescent="0.2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x14ac:dyDescent="0.2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x14ac:dyDescent="0.2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x14ac:dyDescent="0.2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x14ac:dyDescent="0.2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x14ac:dyDescent="0.2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x14ac:dyDescent="0.2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x14ac:dyDescent="0.2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x14ac:dyDescent="0.2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 x14ac:dyDescent="0.2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x14ac:dyDescent="0.2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x14ac:dyDescent="0.2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x14ac:dyDescent="0.2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x14ac:dyDescent="0.2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x14ac:dyDescent="0.2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x14ac:dyDescent="0.2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x14ac:dyDescent="0.2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x14ac:dyDescent="0.2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x14ac:dyDescent="0.2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x14ac:dyDescent="0.2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x14ac:dyDescent="0.2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 x14ac:dyDescent="0.2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x14ac:dyDescent="0.2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x14ac:dyDescent="0.2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x14ac:dyDescent="0.2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x14ac:dyDescent="0.2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x14ac:dyDescent="0.2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x14ac:dyDescent="0.2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x14ac:dyDescent="0.2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x14ac:dyDescent="0.2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x14ac:dyDescent="0.2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x14ac:dyDescent="0.2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x14ac:dyDescent="0.2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 x14ac:dyDescent="0.2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x14ac:dyDescent="0.2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x14ac:dyDescent="0.2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x14ac:dyDescent="0.2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x14ac:dyDescent="0.2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x14ac:dyDescent="0.2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x14ac:dyDescent="0.2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x14ac:dyDescent="0.2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x14ac:dyDescent="0.2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x14ac:dyDescent="0.2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x14ac:dyDescent="0.2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x14ac:dyDescent="0.2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 x14ac:dyDescent="0.2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x14ac:dyDescent="0.2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x14ac:dyDescent="0.2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x14ac:dyDescent="0.2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x14ac:dyDescent="0.2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x14ac:dyDescent="0.2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x14ac:dyDescent="0.2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x14ac:dyDescent="0.2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x14ac:dyDescent="0.2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x14ac:dyDescent="0.2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x14ac:dyDescent="0.2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x14ac:dyDescent="0.2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 x14ac:dyDescent="0.2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x14ac:dyDescent="0.2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x14ac:dyDescent="0.2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x14ac:dyDescent="0.2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x14ac:dyDescent="0.2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x14ac:dyDescent="0.2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x14ac:dyDescent="0.2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x14ac:dyDescent="0.2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x14ac:dyDescent="0.2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x14ac:dyDescent="0.2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x14ac:dyDescent="0.2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x14ac:dyDescent="0.2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 x14ac:dyDescent="0.2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x14ac:dyDescent="0.2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x14ac:dyDescent="0.2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x14ac:dyDescent="0.2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x14ac:dyDescent="0.2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x14ac:dyDescent="0.2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x14ac:dyDescent="0.2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x14ac:dyDescent="0.2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x14ac:dyDescent="0.2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x14ac:dyDescent="0.2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x14ac:dyDescent="0.2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x14ac:dyDescent="0.2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 x14ac:dyDescent="0.2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x14ac:dyDescent="0.2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x14ac:dyDescent="0.2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x14ac:dyDescent="0.2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x14ac:dyDescent="0.2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x14ac:dyDescent="0.2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x14ac:dyDescent="0.2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x14ac:dyDescent="0.2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x14ac:dyDescent="0.2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x14ac:dyDescent="0.2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x14ac:dyDescent="0.2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x14ac:dyDescent="0.2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 x14ac:dyDescent="0.2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x14ac:dyDescent="0.2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x14ac:dyDescent="0.2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x14ac:dyDescent="0.2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x14ac:dyDescent="0.2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x14ac:dyDescent="0.2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x14ac:dyDescent="0.2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x14ac:dyDescent="0.2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x14ac:dyDescent="0.2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x14ac:dyDescent="0.2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x14ac:dyDescent="0.2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x14ac:dyDescent="0.2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 x14ac:dyDescent="0.2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x14ac:dyDescent="0.2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x14ac:dyDescent="0.2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x14ac:dyDescent="0.2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x14ac:dyDescent="0.2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x14ac:dyDescent="0.2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x14ac:dyDescent="0.2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x14ac:dyDescent="0.2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x14ac:dyDescent="0.2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x14ac:dyDescent="0.2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x14ac:dyDescent="0.2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x14ac:dyDescent="0.2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 x14ac:dyDescent="0.2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x14ac:dyDescent="0.2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x14ac:dyDescent="0.2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x14ac:dyDescent="0.2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x14ac:dyDescent="0.2">
      <c r="A274" s="1">
        <v>45413</v>
      </c>
      <c r="B274" s="16">
        <v>16883</v>
      </c>
      <c r="C274" s="5">
        <v>31780</v>
      </c>
      <c r="D274" s="6">
        <v>48663</v>
      </c>
      <c r="E274" s="7">
        <v>4402.9829339999997</v>
      </c>
      <c r="F274" s="7">
        <v>12084.629987</v>
      </c>
      <c r="G274" s="7">
        <v>16487.612921</v>
      </c>
    </row>
    <row r="275" spans="1:7" x14ac:dyDescent="0.2">
      <c r="A275" s="1">
        <v>45444</v>
      </c>
      <c r="B275" s="16">
        <v>16799</v>
      </c>
      <c r="C275" s="5">
        <v>33609</v>
      </c>
      <c r="D275" s="6">
        <v>50408</v>
      </c>
      <c r="E275" s="7">
        <v>4406.5907380000017</v>
      </c>
      <c r="F275" s="7">
        <v>12569.946422000001</v>
      </c>
      <c r="G275" s="7">
        <v>16976.537160000003</v>
      </c>
    </row>
    <row r="276" spans="1:7" x14ac:dyDescent="0.2">
      <c r="A276" s="1">
        <v>45474</v>
      </c>
      <c r="B276" s="16">
        <v>16469</v>
      </c>
      <c r="C276" s="5">
        <v>37955</v>
      </c>
      <c r="D276" s="6">
        <v>54424</v>
      </c>
      <c r="E276" s="7">
        <v>3767.2493190000005</v>
      </c>
      <c r="F276" s="7">
        <v>14207.535373999999</v>
      </c>
      <c r="G276" s="7">
        <v>17974.784693000001</v>
      </c>
    </row>
    <row r="277" spans="1:7" x14ac:dyDescent="0.2">
      <c r="A277" s="1">
        <v>45505</v>
      </c>
      <c r="B277" s="16">
        <v>17616</v>
      </c>
      <c r="C277" s="5">
        <v>35841</v>
      </c>
      <c r="D277" s="6">
        <v>53457</v>
      </c>
      <c r="E277" s="7">
        <v>4723.0390929999985</v>
      </c>
      <c r="F277" s="7">
        <v>13665.047744000001</v>
      </c>
      <c r="G277" s="7">
        <v>18388.086836999999</v>
      </c>
    </row>
    <row r="278" spans="1:7" x14ac:dyDescent="0.2">
      <c r="A278" s="1">
        <v>45536</v>
      </c>
      <c r="B278" s="16"/>
      <c r="C278" s="5"/>
      <c r="D278" s="6"/>
      <c r="E278" s="7"/>
      <c r="F278" s="7"/>
      <c r="G278" s="7"/>
    </row>
    <row r="279" spans="1:7" x14ac:dyDescent="0.2">
      <c r="A279" s="1">
        <v>45566</v>
      </c>
      <c r="B279" s="16"/>
      <c r="C279" s="5"/>
      <c r="D279" s="6"/>
      <c r="E279" s="7"/>
      <c r="F279" s="7"/>
      <c r="G279" s="7"/>
    </row>
    <row r="280" spans="1:7" x14ac:dyDescent="0.2">
      <c r="A280" s="1">
        <v>45597</v>
      </c>
      <c r="B280" s="16"/>
      <c r="C280" s="5"/>
      <c r="D280" s="6"/>
      <c r="E280" s="7"/>
      <c r="F280" s="7"/>
      <c r="G280" s="7"/>
    </row>
    <row r="281" spans="1:7" x14ac:dyDescent="0.2">
      <c r="A281" s="1">
        <v>45627</v>
      </c>
      <c r="B281" s="16"/>
      <c r="C281" s="5"/>
      <c r="D281" s="6"/>
      <c r="E281" s="7"/>
      <c r="F281" s="7"/>
      <c r="G281" s="7"/>
    </row>
    <row r="282" spans="1:7" x14ac:dyDescent="0.2">
      <c r="A282" s="1"/>
      <c r="B282" s="16"/>
      <c r="C282" s="5"/>
      <c r="D282" s="6"/>
      <c r="E282" s="7"/>
      <c r="F282" s="7"/>
      <c r="G282" s="7"/>
    </row>
    <row r="283" spans="1:7" ht="2.25" customHeight="1" x14ac:dyDescent="0.2">
      <c r="A283" s="20"/>
      <c r="B283" s="21"/>
      <c r="C283" s="21"/>
      <c r="D283" s="22"/>
      <c r="E283" s="23"/>
      <c r="F283" s="23"/>
      <c r="G283" s="23"/>
    </row>
    <row r="284" spans="1:7" x14ac:dyDescent="0.2">
      <c r="A284" s="8" t="s">
        <v>12</v>
      </c>
      <c r="B284" s="9"/>
      <c r="C284" s="9"/>
      <c r="D284" s="10"/>
      <c r="E284" s="11"/>
      <c r="F284" s="11"/>
      <c r="G284" s="11"/>
    </row>
    <row r="285" spans="1:7" x14ac:dyDescent="0.2">
      <c r="A285" s="12" t="s">
        <v>7</v>
      </c>
      <c r="B285" s="13"/>
      <c r="C285" s="13"/>
      <c r="D285" s="13"/>
      <c r="E285" s="13"/>
      <c r="F285" s="13"/>
      <c r="G285" s="13"/>
    </row>
    <row r="286" spans="1:7" x14ac:dyDescent="0.2">
      <c r="A286" s="18"/>
      <c r="B286" s="13"/>
      <c r="C286" s="13"/>
      <c r="D286" s="14"/>
      <c r="E286" s="13"/>
      <c r="F286" s="13"/>
      <c r="G286" s="7"/>
    </row>
    <row r="287" spans="1:7" x14ac:dyDescent="0.2">
      <c r="A287" s="18"/>
      <c r="B287" s="16"/>
      <c r="C287" s="5"/>
      <c r="D287" s="5"/>
      <c r="E287" s="7"/>
      <c r="F287" s="7"/>
      <c r="G287" s="7"/>
    </row>
    <row r="288" spans="1:7" x14ac:dyDescent="0.2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tabSelected="1" zoomScale="110" zoomScaleNormal="110" zoomScaleSheetLayoutView="100" workbookViewId="0">
      <selection activeCell="K20" sqref="K20"/>
    </sheetView>
  </sheetViews>
  <sheetFormatPr defaultColWidth="9.140625" defaultRowHeight="12.75" x14ac:dyDescent="0.2"/>
  <cols>
    <col min="1" max="1" width="1" style="26" customWidth="1"/>
    <col min="2" max="2" width="11.42578125" style="26" customWidth="1"/>
    <col min="3" max="3" width="11.7109375" style="26" customWidth="1"/>
    <col min="4" max="4" width="10.5703125" style="26" customWidth="1"/>
    <col min="5" max="5" width="9.28515625" style="26" customWidth="1"/>
    <col min="6" max="7" width="11.5703125" style="26" customWidth="1"/>
    <col min="8" max="8" width="10.28515625" style="26" customWidth="1"/>
    <col min="9" max="9" width="10.42578125" style="26" customWidth="1"/>
    <col min="10" max="11" width="10.5703125" style="28" customWidth="1"/>
    <col min="12" max="12" width="12.7109375" style="28" customWidth="1"/>
    <col min="13" max="13" width="9.28515625" style="28" customWidth="1"/>
    <col min="14" max="14" width="10.28515625" style="28" customWidth="1"/>
    <col min="15" max="15" width="11.28515625" style="25" bestFit="1" customWidth="1"/>
    <col min="16" max="16" width="11" style="25" customWidth="1"/>
    <col min="17" max="17" width="12" style="25" customWidth="1"/>
    <col min="18" max="18" width="11.85546875" style="15" customWidth="1"/>
    <col min="19" max="19" width="1.28515625" style="15" customWidth="1"/>
    <col min="20" max="20" width="9.140625" style="15"/>
    <col min="21" max="21" width="12.5703125" style="15" customWidth="1"/>
    <col min="22" max="22" width="10.7109375" style="15" customWidth="1"/>
    <col min="23" max="23" width="11.42578125" style="15" customWidth="1"/>
    <col min="24" max="16384" width="9.140625" style="15"/>
  </cols>
  <sheetData>
    <row r="1" spans="2:12" ht="18" customHeight="1" x14ac:dyDescent="0.2">
      <c r="C1" s="27" t="s">
        <v>15</v>
      </c>
      <c r="L1" s="29">
        <v>23</v>
      </c>
    </row>
    <row r="2" spans="2:12" x14ac:dyDescent="0.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 x14ac:dyDescent="0.2">
      <c r="C3" s="27" t="s">
        <v>16</v>
      </c>
      <c r="D3" s="30"/>
      <c r="E3" s="30"/>
      <c r="F3" s="30"/>
      <c r="G3" s="30"/>
      <c r="H3" s="30"/>
      <c r="I3" s="30"/>
      <c r="L3" s="26"/>
    </row>
    <row r="4" spans="2:12" x14ac:dyDescent="0.2">
      <c r="C4" s="27" t="str">
        <f>CONCATENATE("PERÍODO:" &amp; " " &amp; L2)</f>
        <v>PERÍODO: 2024</v>
      </c>
      <c r="L4" s="26"/>
    </row>
    <row r="6" spans="2:12" x14ac:dyDescent="0.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 x14ac:dyDescent="0.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 x14ac:dyDescent="0.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 x14ac:dyDescent="0.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 x14ac:dyDescent="0.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 x14ac:dyDescent="0.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 x14ac:dyDescent="0.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4402.9829339999997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 x14ac:dyDescent="0.2">
      <c r="B13" s="13" t="str">
        <f>CONCATENATE("Jun","-",MID(TEXT($L$2,0),3,2))</f>
        <v>Jun-24</v>
      </c>
      <c r="C13" s="31">
        <f>IF($G56&lt;$I$52,"",IF($G56&gt;$I$54,"",VLOOKUP($G56,BD_Unidades!$A$6:$G$284,2)))</f>
        <v>16799</v>
      </c>
      <c r="D13" s="32">
        <f>IF($G56&lt;$I$52,"",IF($G56&gt;$I$54,"",VLOOKUP($G56,BD_Unidades!$A$6:$G$284,3)))</f>
        <v>33609</v>
      </c>
      <c r="E13" s="32">
        <f t="shared" si="0"/>
        <v>50408</v>
      </c>
      <c r="F13" s="31">
        <f>IF($G56&lt;$I$52,"",IF($G56&gt;$I$54,"",VLOOKUP($G56,BD_Unidades!$A$6:$G$284,5)))</f>
        <v>4406.5907380000017</v>
      </c>
      <c r="G13" s="32">
        <f>IF($G56&lt;$I$52,"",IF($G56&gt;$I$54,"",VLOOKUP($G56,BD_Unidades!$A$6:$G$284,6)))</f>
        <v>12569.946422000001</v>
      </c>
      <c r="H13" s="32">
        <f t="shared" si="1"/>
        <v>16976.537160000003</v>
      </c>
    </row>
    <row r="14" spans="2:12" x14ac:dyDescent="0.2">
      <c r="B14" s="13" t="str">
        <f>CONCATENATE("Jul","-",MID(TEXT($L$2,0),3,2))</f>
        <v>Jul-24</v>
      </c>
      <c r="C14" s="31">
        <f>IF($G57&lt;$I$52,"",IF($G57&gt;$I$54,"",VLOOKUP($G57,BD_Unidades!$A$6:$G$284,2)))</f>
        <v>16469</v>
      </c>
      <c r="D14" s="32">
        <f>IF($G57&lt;$I$52,"",IF($G57&gt;$I$54,"",VLOOKUP($G57,BD_Unidades!$A$6:$G$284,3)))</f>
        <v>37955</v>
      </c>
      <c r="E14" s="32">
        <f t="shared" ref="E14:E19" si="2">C14+D14</f>
        <v>54424</v>
      </c>
      <c r="F14" s="31">
        <f>IF($G57&lt;$I$52,"",IF($G57&gt;$I$54,"",VLOOKUP($G57,BD_Unidades!$A$6:$G$284,5)))</f>
        <v>3767.2493190000005</v>
      </c>
      <c r="G14" s="32">
        <f>IF($G57&lt;$I$52,"",IF($G57&gt;$I$54,"",VLOOKUP($G57,BD_Unidades!$A$6:$G$284,6)))</f>
        <v>14207.535373999999</v>
      </c>
      <c r="H14" s="32">
        <f t="shared" ref="H14:H19" si="3">F14+G14</f>
        <v>17974.784693000001</v>
      </c>
    </row>
    <row r="15" spans="2:12" x14ac:dyDescent="0.2">
      <c r="B15" s="13" t="str">
        <f>CONCATENATE("Ago","-",MID(TEXT($L$2,0),3,2))</f>
        <v>Ago-24</v>
      </c>
      <c r="C15" s="31">
        <f>IF($G58&lt;$I$52,"",IF($G58&gt;$I$54,"",VLOOKUP($G58,BD_Unidades!$A$6:$G$284,2)))</f>
        <v>17616</v>
      </c>
      <c r="D15" s="32">
        <f>IF($G58&lt;$I$52,"",IF($G58&gt;$I$54,"",VLOOKUP($G58,BD_Unidades!$A$6:$G$284,3)))</f>
        <v>35841</v>
      </c>
      <c r="E15" s="32">
        <f t="shared" si="2"/>
        <v>53457</v>
      </c>
      <c r="F15" s="31">
        <f>IF($G58&lt;$I$52,"",IF($G58&gt;$I$54,"",VLOOKUP($G58,BD_Unidades!$A$6:$G$284,5)))</f>
        <v>4723.0390929999985</v>
      </c>
      <c r="G15" s="32">
        <f>IF($G58&lt;$I$52,"",IF($G58&gt;$I$54,"",VLOOKUP($G58,BD_Unidades!$A$6:$G$284,6)))</f>
        <v>13665.047744000001</v>
      </c>
      <c r="H15" s="32">
        <f t="shared" si="3"/>
        <v>18388.086836999999</v>
      </c>
    </row>
    <row r="16" spans="2:12" x14ac:dyDescent="0.2">
      <c r="B16" s="13" t="str">
        <f>CONCATENATE("Set","-",MID(TEXT($L$2,0),3,2))</f>
        <v>Set-24</v>
      </c>
      <c r="C16" s="31">
        <f>IF($G59&lt;$I$52,"",IF($G59&gt;$I$54,"",VLOOKUP($G59,BD_Unidades!$A$6:$G$284,2)))</f>
        <v>0</v>
      </c>
      <c r="D16" s="32">
        <f>IF($G59&lt;$I$52,"",IF($G59&gt;$I$54,"",VLOOKUP($G59,BD_Unidades!$A$6:$G$284,3)))</f>
        <v>0</v>
      </c>
      <c r="E16" s="32">
        <f t="shared" si="2"/>
        <v>0</v>
      </c>
      <c r="F16" s="31">
        <f>IF($G59&lt;$I$52,"",IF($G59&gt;$I$54,"",VLOOKUP($G59,BD_Unidades!$A$6:$G$284,5)))</f>
        <v>0</v>
      </c>
      <c r="G16" s="32">
        <f>IF($G59&lt;$I$52,"",IF($G59&gt;$I$54,"",VLOOKUP($G59,BD_Unidades!$A$6:$G$284,6)))</f>
        <v>0</v>
      </c>
      <c r="H16" s="32">
        <f t="shared" si="3"/>
        <v>0</v>
      </c>
    </row>
    <row r="17" spans="2:11" x14ac:dyDescent="0.2">
      <c r="B17" s="13" t="str">
        <f>CONCATENATE("Out","-",MID(TEXT($L$2,0),3,2))</f>
        <v>Out-24</v>
      </c>
      <c r="C17" s="31">
        <f>IF($G60&lt;$I$52,"",IF($G60&gt;$I$54,"",VLOOKUP($G60,BD_Unidades!$A$6:$G$284,2)))</f>
        <v>0</v>
      </c>
      <c r="D17" s="32">
        <f>IF($G60&lt;$I$52,"",IF($G60&gt;$I$54,"",VLOOKUP($G60,BD_Unidades!$A$6:$G$284,3)))</f>
        <v>0</v>
      </c>
      <c r="E17" s="32">
        <f t="shared" si="2"/>
        <v>0</v>
      </c>
      <c r="F17" s="31">
        <f>IF($G60&lt;$I$52,"",IF($G60&gt;$I$54,"",VLOOKUP($G60,BD_Unidades!$A$6:$G$284,5)))</f>
        <v>0</v>
      </c>
      <c r="G17" s="32">
        <f>IF($G60&lt;$I$52,"",IF($G60&gt;$I$54,"",VLOOKUP($G60,BD_Unidades!$A$6:$G$284,6)))</f>
        <v>0</v>
      </c>
      <c r="H17" s="32">
        <f t="shared" si="3"/>
        <v>0</v>
      </c>
    </row>
    <row r="18" spans="2:11" x14ac:dyDescent="0.2">
      <c r="B18" s="13" t="str">
        <f>CONCATENATE("Nov","-",MID(TEXT($L$2,0),3,2))</f>
        <v>Nov-24</v>
      </c>
      <c r="C18" s="31">
        <f>IF($G61&lt;$I$52,"",IF($G61&gt;$I$54,"",VLOOKUP($G61,BD_Unidades!$A$6:$G$284,2)))</f>
        <v>0</v>
      </c>
      <c r="D18" s="32">
        <f>IF($G61&lt;$I$52,"",IF($G61&gt;$I$54,"",VLOOKUP($G61,BD_Unidades!$A$6:$G$284,3)))</f>
        <v>0</v>
      </c>
      <c r="E18" s="32">
        <f t="shared" si="2"/>
        <v>0</v>
      </c>
      <c r="F18" s="31">
        <f>IF($G61&lt;$I$52,"",IF($G61&gt;$I$54,"",VLOOKUP($G61,BD_Unidades!$A$6:$G$284,5)))</f>
        <v>0</v>
      </c>
      <c r="G18" s="32">
        <f>IF($G61&lt;$I$52,"",IF($G61&gt;$I$54,"",VLOOKUP($G61,BD_Unidades!$A$6:$G$284,6)))</f>
        <v>0</v>
      </c>
      <c r="H18" s="32">
        <f t="shared" si="3"/>
        <v>0</v>
      </c>
    </row>
    <row r="19" spans="2:11" x14ac:dyDescent="0.2">
      <c r="B19" s="13" t="str">
        <f>CONCATENATE("Dez","-",MID(TEXT($L$2,0),3,2))</f>
        <v>Dez-24</v>
      </c>
      <c r="C19" s="31">
        <f>IF($G62&lt;$I$52,"",IF($G62&gt;$I$54,"",VLOOKUP($G62,BD_Unidades!$A$6:$G$284,2)))</f>
        <v>0</v>
      </c>
      <c r="D19" s="32">
        <f>IF($G62&lt;$I$52,"",IF($G62&gt;$I$54,"",VLOOKUP($G62,BD_Unidades!$A$6:$G$284,3)))</f>
        <v>0</v>
      </c>
      <c r="E19" s="32">
        <f t="shared" si="2"/>
        <v>0</v>
      </c>
      <c r="F19" s="31">
        <f>IF($G62&lt;$I$52,"",IF($G62&gt;$I$54,"",VLOOKUP($G62,BD_Unidades!$A$6:$G$284,5)))</f>
        <v>0</v>
      </c>
      <c r="G19" s="32">
        <f>IF($G62&lt;$I$52,"",IF($G62&gt;$I$54,"",VLOOKUP($G62,BD_Unidades!$A$6:$G$284,6)))</f>
        <v>0</v>
      </c>
      <c r="H19" s="32">
        <f t="shared" si="3"/>
        <v>0</v>
      </c>
    </row>
    <row r="20" spans="2:11" x14ac:dyDescent="0.2">
      <c r="B20" s="57" t="str">
        <f>CONCATENATE("Total"," ",TEXT($L$2,0))</f>
        <v>Total 2024</v>
      </c>
      <c r="C20" s="53">
        <f t="shared" ref="C20:H20" si="4">SUM(C8:C19)</f>
        <v>115943</v>
      </c>
      <c r="D20" s="53">
        <f t="shared" si="4"/>
        <v>239678</v>
      </c>
      <c r="E20" s="53">
        <f t="shared" si="4"/>
        <v>355621</v>
      </c>
      <c r="F20" s="53">
        <f t="shared" si="4"/>
        <v>28391.956993</v>
      </c>
      <c r="G20" s="53">
        <f t="shared" si="4"/>
        <v>90098.290074000004</v>
      </c>
      <c r="H20" s="54">
        <f t="shared" si="4"/>
        <v>118490.247067</v>
      </c>
    </row>
    <row r="21" spans="2:11" x14ac:dyDescent="0.2">
      <c r="B21" s="33" t="s">
        <v>13</v>
      </c>
      <c r="C21" s="34"/>
      <c r="D21" s="34"/>
      <c r="E21" s="34"/>
      <c r="F21" s="34"/>
      <c r="G21" s="34"/>
      <c r="H21" s="32"/>
    </row>
    <row r="22" spans="2:11" x14ac:dyDescent="0.2">
      <c r="B22" s="35" t="s">
        <v>14</v>
      </c>
      <c r="C22" s="34"/>
      <c r="D22" s="34"/>
      <c r="E22" s="36"/>
      <c r="F22" s="37"/>
      <c r="G22" s="37"/>
      <c r="H22" s="37"/>
    </row>
    <row r="23" spans="2:11" x14ac:dyDescent="0.2">
      <c r="B23" s="38"/>
      <c r="C23" s="29"/>
      <c r="D23" s="29"/>
      <c r="E23" s="39"/>
      <c r="F23" s="29"/>
      <c r="G23" s="29"/>
      <c r="H23" s="40"/>
      <c r="I23" s="29"/>
    </row>
    <row r="24" spans="2:11" ht="15.75" x14ac:dyDescent="0.25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25" x14ac:dyDescent="0.3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 x14ac:dyDescent="0.2">
      <c r="B26" s="38"/>
      <c r="C26" s="29"/>
      <c r="D26" s="29"/>
      <c r="E26" s="39"/>
      <c r="F26" s="29"/>
      <c r="G26" s="29"/>
      <c r="H26" s="40"/>
      <c r="I26" s="29"/>
    </row>
    <row r="27" spans="2:11" x14ac:dyDescent="0.2">
      <c r="B27" s="38"/>
      <c r="C27" s="29"/>
      <c r="D27" s="29"/>
      <c r="E27" s="39"/>
      <c r="F27" s="29"/>
      <c r="G27" s="29"/>
      <c r="H27" s="40"/>
      <c r="I27" s="29"/>
    </row>
    <row r="28" spans="2:11" x14ac:dyDescent="0.2">
      <c r="B28" s="38"/>
      <c r="C28" s="29"/>
      <c r="D28" s="29"/>
      <c r="E28" s="39"/>
      <c r="F28" s="29"/>
      <c r="G28" s="29"/>
      <c r="H28" s="40"/>
      <c r="I28" s="29"/>
    </row>
    <row r="29" spans="2:11" x14ac:dyDescent="0.2">
      <c r="B29" s="38"/>
      <c r="C29" s="29"/>
      <c r="D29" s="29"/>
      <c r="E29" s="39"/>
      <c r="F29" s="29"/>
      <c r="G29" s="29"/>
      <c r="H29" s="40"/>
      <c r="I29" s="29"/>
    </row>
    <row r="30" spans="2:11" x14ac:dyDescent="0.2">
      <c r="B30" s="38"/>
      <c r="C30" s="29"/>
      <c r="D30" s="29"/>
      <c r="E30" s="39"/>
      <c r="F30" s="29"/>
      <c r="G30" s="29"/>
      <c r="H30" s="40"/>
      <c r="I30" s="29"/>
    </row>
    <row r="31" spans="2:11" x14ac:dyDescent="0.2">
      <c r="B31" s="38"/>
      <c r="C31" s="29"/>
      <c r="D31" s="29"/>
      <c r="E31" s="39"/>
      <c r="F31" s="29"/>
      <c r="G31" s="29"/>
      <c r="H31" s="40"/>
      <c r="I31" s="29"/>
    </row>
    <row r="32" spans="2:11" x14ac:dyDescent="0.2">
      <c r="B32" s="38"/>
      <c r="C32" s="29"/>
      <c r="D32" s="29"/>
      <c r="E32" s="39"/>
      <c r="F32" s="29"/>
      <c r="G32" s="29"/>
      <c r="H32" s="40"/>
      <c r="I32" s="29"/>
    </row>
    <row r="33" spans="1:14" x14ac:dyDescent="0.2">
      <c r="B33" s="38"/>
      <c r="C33" s="29"/>
      <c r="D33" s="29"/>
      <c r="E33" s="39"/>
      <c r="F33" s="29"/>
      <c r="G33" s="29"/>
      <c r="H33" s="40"/>
      <c r="I33" s="29"/>
    </row>
    <row r="34" spans="1:14" x14ac:dyDescent="0.2">
      <c r="B34" s="38"/>
      <c r="C34" s="29"/>
      <c r="D34" s="29"/>
      <c r="E34" s="39"/>
      <c r="F34" s="29"/>
      <c r="G34" s="29"/>
      <c r="H34" s="40"/>
      <c r="I34" s="29"/>
    </row>
    <row r="35" spans="1:14" x14ac:dyDescent="0.2">
      <c r="B35" s="41"/>
      <c r="E35" s="42"/>
      <c r="H35" s="43"/>
    </row>
    <row r="36" spans="1:14" x14ac:dyDescent="0.2">
      <c r="B36" s="41"/>
      <c r="E36" s="42"/>
      <c r="H36" s="43"/>
    </row>
    <row r="37" spans="1:14" x14ac:dyDescent="0.2">
      <c r="B37" s="41"/>
      <c r="E37" s="42"/>
      <c r="H37" s="43"/>
    </row>
    <row r="38" spans="1:14" x14ac:dyDescent="0.2">
      <c r="B38" s="41"/>
      <c r="E38" s="42"/>
      <c r="H38" s="43"/>
    </row>
    <row r="39" spans="1:14" s="2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 x14ac:dyDescent="0.2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 x14ac:dyDescent="0.2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 x14ac:dyDescent="0.2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 x14ac:dyDescent="0.2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 x14ac:dyDescent="0.2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 x14ac:dyDescent="0.2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 x14ac:dyDescent="0.2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 x14ac:dyDescent="0.2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 x14ac:dyDescent="0.2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 x14ac:dyDescent="0.2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 x14ac:dyDescent="0.2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 x14ac:dyDescent="0.2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 x14ac:dyDescent="0.2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 x14ac:dyDescent="0.2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 x14ac:dyDescent="0.2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 x14ac:dyDescent="0.2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 x14ac:dyDescent="0.2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 x14ac:dyDescent="0.2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 x14ac:dyDescent="0.2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 x14ac:dyDescent="0.2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 x14ac:dyDescent="0.2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 x14ac:dyDescent="0.2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5" hidden="1" x14ac:dyDescent="0.25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 x14ac:dyDescent="0.2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 x14ac:dyDescent="0.2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 x14ac:dyDescent="0.2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 x14ac:dyDescent="0.2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 x14ac:dyDescent="0.2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 x14ac:dyDescent="0.2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 x14ac:dyDescent="0.2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 x14ac:dyDescent="0.2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 x14ac:dyDescent="0.2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 x14ac:dyDescent="0.2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 x14ac:dyDescent="0.2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 x14ac:dyDescent="0.2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 x14ac:dyDescent="0.2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 x14ac:dyDescent="0.2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 x14ac:dyDescent="0.2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 x14ac:dyDescent="0.2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 x14ac:dyDescent="0.2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 x14ac:dyDescent="0.2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 x14ac:dyDescent="0.2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 x14ac:dyDescent="0.2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 x14ac:dyDescent="0.2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 x14ac:dyDescent="0.2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 x14ac:dyDescent="0.2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 x14ac:dyDescent="0.2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 x14ac:dyDescent="0.2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 x14ac:dyDescent="0.2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 x14ac:dyDescent="0.2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 x14ac:dyDescent="0.2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 x14ac:dyDescent="0.2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 x14ac:dyDescent="0.2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 x14ac:dyDescent="0.2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 x14ac:dyDescent="0.2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 x14ac:dyDescent="0.2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 x14ac:dyDescent="0.2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 x14ac:dyDescent="0.2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 x14ac:dyDescent="0.2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 x14ac:dyDescent="0.2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 x14ac:dyDescent="0.2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 x14ac:dyDescent="0.2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 x14ac:dyDescent="0.2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 x14ac:dyDescent="0.2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 x14ac:dyDescent="0.2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 x14ac:dyDescent="0.2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 x14ac:dyDescent="0.2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 x14ac:dyDescent="0.2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 x14ac:dyDescent="0.2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 x14ac:dyDescent="0.2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 x14ac:dyDescent="0.2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 x14ac:dyDescent="0.2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 x14ac:dyDescent="0.2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 x14ac:dyDescent="0.2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 x14ac:dyDescent="0.2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 x14ac:dyDescent="0.2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 x14ac:dyDescent="0.2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 x14ac:dyDescent="0.2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 x14ac:dyDescent="0.2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 x14ac:dyDescent="0.2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 x14ac:dyDescent="0.2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 x14ac:dyDescent="0.2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 x14ac:dyDescent="0.2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 x14ac:dyDescent="0.2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 x14ac:dyDescent="0.2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 x14ac:dyDescent="0.2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 x14ac:dyDescent="0.2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 x14ac:dyDescent="0.2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 x14ac:dyDescent="0.2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 x14ac:dyDescent="0.2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 x14ac:dyDescent="0.2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 x14ac:dyDescent="0.2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 x14ac:dyDescent="0.2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 x14ac:dyDescent="0.2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 x14ac:dyDescent="0.2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 x14ac:dyDescent="0.2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 x14ac:dyDescent="0.2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 x14ac:dyDescent="0.2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 x14ac:dyDescent="0.2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 x14ac:dyDescent="0.2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 x14ac:dyDescent="0.2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57150</xdr:colOff>
                    <xdr:row>8</xdr:row>
                    <xdr:rowOff>133350</xdr:rowOff>
                  </from>
                  <to>
                    <xdr:col>11</xdr:col>
                    <xdr:colOff>581025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315AC1-6D5F-4F1D-98E9-CDAAED4BA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C33EE2-9D73-41AD-9F2D-144EFFD8432E}">
  <ds:schemaRefs>
    <ds:schemaRef ds:uri="ce50f6f7-abf6-49b9-b4c9-2ea63774b93b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4bcf983-2136-4c42-9108-b73acbb23e9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Leonardo Rangel - Abecip</cp:lastModifiedBy>
  <cp:lastPrinted>2018-03-06T19:06:46Z</cp:lastPrinted>
  <dcterms:created xsi:type="dcterms:W3CDTF">2009-11-12T18:51:53Z</dcterms:created>
  <dcterms:modified xsi:type="dcterms:W3CDTF">2024-09-25T20:53:54Z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