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52" documentId="13_ncr:1_{014B92C9-82EF-4162-994B-58DA059768D0}" xr6:coauthVersionLast="47" xr6:coauthVersionMax="47" xr10:uidLastSave="{43268895-BE65-40F9-9DFD-219EE2600559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<sst xmlns="http://schemas.openxmlformats.org/spreadsheetml/2006/main" count="29" uniqueCount="17">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</sst>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3740</c:v>
                </c:pt>
                <c:pt idx="1">
                  <c:v>4505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34789</c:v>
                </c:pt>
                <c:pt idx="1">
                  <c:v>31768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925.21555999999998</c:v>
                </c:pt>
                <c:pt idx="1">
                  <c:v>1259.5894049999999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12553.981863000001</c:v>
                </c:pt>
                <c:pt idx="1">
                  <c:v>11477.550675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548640</xdr:colOff>
      <xdr:row>3</xdr:row>
      <xdr:rowOff>9265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68" activePane="bottomRight" state="frozen"/>
      <selection activeCell="G16" sqref="G16"/>
      <selection pane="topRight" activeCell="G16" sqref="G16"/>
      <selection pane="bottomLeft" activeCell="G16" sqref="G16"/>
      <selection pane="bottomRight" activeCell="I282" sqref="I282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6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6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6">
        <v>7823</v>
      </c>
      <c r="C270" s="5">
        <v>20405</v>
      </c>
      <c r="D270" s="6">
        <v>28228</v>
      </c>
      <c r="E270" s="7">
        <v>1559.6878440000003</v>
      </c>
      <c r="F270" s="7">
        <v>8046.6003009999995</v>
      </c>
      <c r="G270" s="7">
        <v>9606.2881450000004</v>
      </c>
    </row>
    <row r="271" spans="1:7" x14ac:dyDescent="0.2">
      <c r="A271" s="1">
        <v>45323</v>
      </c>
      <c r="B271" s="16">
        <v>8448</v>
      </c>
      <c r="C271" s="5">
        <v>22108</v>
      </c>
      <c r="D271" s="6">
        <v>30556</v>
      </c>
      <c r="E271" s="7">
        <v>2314.8383279999994</v>
      </c>
      <c r="F271" s="7">
        <v>8142.8460940000004</v>
      </c>
      <c r="G271" s="7">
        <v>10457.684422</v>
      </c>
    </row>
    <row r="272" spans="1:7" x14ac:dyDescent="0.2">
      <c r="A272" s="1">
        <v>45352</v>
      </c>
      <c r="B272" s="16">
        <v>13150</v>
      </c>
      <c r="C272" s="5">
        <v>27193</v>
      </c>
      <c r="D272" s="6">
        <v>40343</v>
      </c>
      <c r="E272" s="7">
        <v>2962.5406360000002</v>
      </c>
      <c r="F272" s="7">
        <v>9934.5596880000012</v>
      </c>
      <c r="G272" s="7">
        <v>12897.100324000001</v>
      </c>
    </row>
    <row r="273" spans="1:7" x14ac:dyDescent="0.2">
      <c r="A273" s="1">
        <v>45383</v>
      </c>
      <c r="B273" s="16">
        <v>18755</v>
      </c>
      <c r="C273" s="5">
        <v>30787</v>
      </c>
      <c r="D273" s="6">
        <v>49542</v>
      </c>
      <c r="E273" s="7">
        <v>4255.0281009999999</v>
      </c>
      <c r="F273" s="7">
        <v>11447.124464</v>
      </c>
      <c r="G273" s="7">
        <v>15702.152565</v>
      </c>
    </row>
    <row r="274" spans="1:7" x14ac:dyDescent="0.2">
      <c r="A274" s="1">
        <v>45413</v>
      </c>
      <c r="B274" s="16">
        <v>16883</v>
      </c>
      <c r="C274" s="5">
        <v>31780</v>
      </c>
      <c r="D274" s="6">
        <v>48663</v>
      </c>
      <c r="E274" s="7">
        <v>4402.9829339999997</v>
      </c>
      <c r="F274" s="7">
        <v>12084.629987</v>
      </c>
      <c r="G274" s="7">
        <v>16487.612921</v>
      </c>
    </row>
    <row r="275" spans="1:7" x14ac:dyDescent="0.2">
      <c r="A275" s="1">
        <v>45444</v>
      </c>
      <c r="B275" s="16">
        <v>16799</v>
      </c>
      <c r="C275" s="5">
        <v>33609</v>
      </c>
      <c r="D275" s="6">
        <v>50408</v>
      </c>
      <c r="E275" s="7">
        <v>4406.5907380000017</v>
      </c>
      <c r="F275" s="7">
        <v>12569.946422000001</v>
      </c>
      <c r="G275" s="7">
        <v>16976.537160000003</v>
      </c>
    </row>
    <row r="276" spans="1:7" x14ac:dyDescent="0.2">
      <c r="A276" s="1">
        <v>45474</v>
      </c>
      <c r="B276" s="16">
        <v>16469</v>
      </c>
      <c r="C276" s="5">
        <v>37955</v>
      </c>
      <c r="D276" s="6">
        <v>54424</v>
      </c>
      <c r="E276" s="7">
        <v>3767.2493190000005</v>
      </c>
      <c r="F276" s="7">
        <v>14207.535373999999</v>
      </c>
      <c r="G276" s="7">
        <v>17974.784693000001</v>
      </c>
    </row>
    <row r="277" spans="1:7" x14ac:dyDescent="0.2">
      <c r="A277" s="1">
        <v>45505</v>
      </c>
      <c r="B277" s="16">
        <v>17616</v>
      </c>
      <c r="C277" s="5">
        <v>35841</v>
      </c>
      <c r="D277" s="6">
        <v>53457</v>
      </c>
      <c r="E277" s="7">
        <v>4723.0390929999985</v>
      </c>
      <c r="F277" s="7">
        <v>13665.047744000001</v>
      </c>
      <c r="G277" s="7">
        <v>18388.086836999999</v>
      </c>
    </row>
    <row r="278" spans="1:7" x14ac:dyDescent="0.2">
      <c r="A278" s="1">
        <v>45536</v>
      </c>
      <c r="B278" s="16">
        <v>21839</v>
      </c>
      <c r="C278" s="5">
        <v>36532</v>
      </c>
      <c r="D278" s="6">
        <v>58371</v>
      </c>
      <c r="E278" s="7">
        <v>4442.8081780000002</v>
      </c>
      <c r="F278" s="7">
        <v>13177.109776000003</v>
      </c>
      <c r="G278" s="7">
        <v>17619.917954000004</v>
      </c>
    </row>
    <row r="279" spans="1:7" x14ac:dyDescent="0.2">
      <c r="A279" s="1">
        <v>45566</v>
      </c>
      <c r="B279" s="16">
        <v>20696</v>
      </c>
      <c r="C279" s="5">
        <v>34843</v>
      </c>
      <c r="D279" s="6">
        <v>55539</v>
      </c>
      <c r="E279" s="7">
        <v>5080.2389780000003</v>
      </c>
      <c r="F279" s="7">
        <v>12960.162808999998</v>
      </c>
      <c r="G279" s="7">
        <v>18040.401786999999</v>
      </c>
    </row>
    <row r="280" spans="1:7" x14ac:dyDescent="0.2">
      <c r="A280" s="1">
        <v>45597</v>
      </c>
      <c r="B280" s="16">
        <v>19854</v>
      </c>
      <c r="C280" s="5">
        <v>27195</v>
      </c>
      <c r="D280" s="6">
        <v>47049</v>
      </c>
      <c r="E280" s="7">
        <v>4691.1724970000005</v>
      </c>
      <c r="F280" s="7">
        <v>10217.311105000001</v>
      </c>
      <c r="G280" s="7">
        <v>14908.483602</v>
      </c>
    </row>
    <row r="281" spans="1:7" x14ac:dyDescent="0.2">
      <c r="A281" s="1">
        <v>45627</v>
      </c>
      <c r="B281" s="16">
        <v>24081</v>
      </c>
      <c r="C281" s="5">
        <v>27502</v>
      </c>
      <c r="D281" s="6">
        <v>51583</v>
      </c>
      <c r="E281" s="7">
        <v>7510.6911550000004</v>
      </c>
      <c r="F281" s="7">
        <v>10101.544932999999</v>
      </c>
      <c r="G281" s="7">
        <v>17612.236087999998</v>
      </c>
    </row>
    <row r="282" spans="1:7" ht="20.100000000000001" customHeight="1" x14ac:dyDescent="0.2">
      <c r="A282" s="1">
        <v>45658</v>
      </c>
      <c r="B282" s="16">
        <v>3740</v>
      </c>
      <c r="C282" s="5">
        <v>34789</v>
      </c>
      <c r="D282" s="6">
        <v>38529</v>
      </c>
      <c r="E282" s="7">
        <v>925.21555999999998</v>
      </c>
      <c r="F282" s="7">
        <v>12553.981863000001</v>
      </c>
      <c r="G282" s="7">
        <v>13479.197423000001</v>
      </c>
    </row>
    <row r="283" spans="1:7" x14ac:dyDescent="0.2">
      <c r="A283" s="1">
        <v>45689</v>
      </c>
      <c r="B283" s="16">
        <v>4505</v>
      </c>
      <c r="C283" s="5">
        <v>31768</v>
      </c>
      <c r="D283" s="6">
        <v>36273</v>
      </c>
      <c r="E283" s="7">
        <v>1259.5894049999999</v>
      </c>
      <c r="F283" s="7">
        <v>11477.550675</v>
      </c>
      <c r="G283" s="7">
        <v>12737.140080000001</v>
      </c>
    </row>
    <row r="284" spans="1:7" x14ac:dyDescent="0.2">
      <c r="A284" s="1">
        <v>45717</v>
      </c>
      <c r="B284" s="16"/>
      <c r="C284" s="5"/>
      <c r="D284" s="6"/>
      <c r="E284" s="7"/>
      <c r="F284" s="7"/>
      <c r="G284" s="7"/>
    </row>
    <row r="285" spans="1:7" x14ac:dyDescent="0.2">
      <c r="A285" s="1">
        <v>45748</v>
      </c>
      <c r="B285" s="16"/>
      <c r="C285" s="5"/>
      <c r="D285" s="6"/>
      <c r="E285" s="7"/>
      <c r="F285" s="7"/>
      <c r="G285" s="7"/>
    </row>
    <row r="286" spans="1:7" x14ac:dyDescent="0.2">
      <c r="A286" s="1">
        <v>45778</v>
      </c>
      <c r="B286" s="16"/>
      <c r="C286" s="5"/>
      <c r="D286" s="6"/>
      <c r="E286" s="7"/>
      <c r="F286" s="7"/>
      <c r="G286" s="7"/>
    </row>
    <row r="287" spans="1:7" x14ac:dyDescent="0.2">
      <c r="A287" s="1">
        <v>45809</v>
      </c>
      <c r="B287" s="16"/>
      <c r="C287" s="5"/>
      <c r="D287" s="6"/>
      <c r="E287" s="7"/>
      <c r="F287" s="7"/>
      <c r="G287" s="7"/>
    </row>
    <row r="288" spans="1:7" x14ac:dyDescent="0.2">
      <c r="A288" s="1">
        <v>45839</v>
      </c>
      <c r="B288" s="16"/>
      <c r="C288" s="5"/>
      <c r="D288" s="6"/>
      <c r="E288" s="7"/>
      <c r="F288" s="7"/>
      <c r="G288" s="7"/>
    </row>
    <row r="289" spans="1:7" x14ac:dyDescent="0.2">
      <c r="A289" s="1">
        <v>45870</v>
      </c>
      <c r="B289" s="16"/>
      <c r="C289" s="5"/>
      <c r="D289" s="6"/>
      <c r="E289" s="7"/>
      <c r="F289" s="7"/>
      <c r="G289" s="7"/>
    </row>
    <row r="290" spans="1:7" x14ac:dyDescent="0.2">
      <c r="A290" s="1">
        <v>45901</v>
      </c>
      <c r="B290" s="16"/>
      <c r="C290" s="5"/>
      <c r="D290" s="6"/>
      <c r="E290" s="7"/>
      <c r="F290" s="7"/>
      <c r="G290" s="7"/>
    </row>
    <row r="291" spans="1:7" x14ac:dyDescent="0.2">
      <c r="A291" s="1">
        <v>45931</v>
      </c>
      <c r="B291" s="16"/>
      <c r="C291" s="5"/>
      <c r="D291" s="6"/>
      <c r="E291" s="7"/>
      <c r="F291" s="7"/>
      <c r="G291" s="7"/>
    </row>
    <row r="292" spans="1:7" x14ac:dyDescent="0.2">
      <c r="A292" s="1">
        <v>45962</v>
      </c>
      <c r="B292" s="16"/>
      <c r="C292" s="5"/>
      <c r="D292" s="6"/>
      <c r="E292" s="7"/>
      <c r="F292" s="7"/>
      <c r="G292" s="7"/>
    </row>
    <row r="293" spans="1:7" x14ac:dyDescent="0.2">
      <c r="A293" s="1">
        <v>45992</v>
      </c>
      <c r="B293" s="16"/>
      <c r="C293" s="5"/>
      <c r="D293" s="6"/>
      <c r="E293" s="7"/>
      <c r="F293" s="7"/>
      <c r="G293" s="7"/>
    </row>
    <row r="294" spans="1:7" x14ac:dyDescent="0.2">
      <c r="A294" s="1"/>
      <c r="B294" s="16"/>
      <c r="C294" s="5"/>
      <c r="D294" s="6"/>
      <c r="E294" s="7"/>
      <c r="F294" s="7"/>
      <c r="G294" s="7"/>
    </row>
    <row r="295" spans="1:7" ht="2.25" customHeight="1" x14ac:dyDescent="0.2">
      <c r="A295" s="20"/>
      <c r="B295" s="21"/>
      <c r="C295" s="21"/>
      <c r="D295" s="22"/>
      <c r="E295" s="23"/>
      <c r="F295" s="23"/>
      <c r="G295" s="23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12" t="s">
        <v>7</v>
      </c>
      <c r="B297" s="13"/>
      <c r="C297" s="13"/>
      <c r="D297" s="13"/>
      <c r="E297" s="13"/>
      <c r="F297" s="13"/>
      <c r="G297" s="13"/>
    </row>
    <row r="298" spans="1:7" x14ac:dyDescent="0.2">
      <c r="A298" s="18"/>
      <c r="B298" s="13"/>
      <c r="C298" s="13"/>
      <c r="D298" s="14"/>
      <c r="E298" s="13"/>
      <c r="F298" s="13"/>
      <c r="G298" s="7"/>
    </row>
    <row r="299" spans="1:7" x14ac:dyDescent="0.2">
      <c r="A299" s="18"/>
      <c r="B299" s="16"/>
      <c r="C299" s="5"/>
      <c r="D299" s="5"/>
      <c r="E299" s="7"/>
      <c r="F299" s="7"/>
      <c r="G299" s="7"/>
    </row>
    <row r="300" spans="1:7" x14ac:dyDescent="0.2">
      <c r="D300" s="19"/>
      <c r="G300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L1" sqref="L1:L2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3" ht="18" customHeight="1" x14ac:dyDescent="0.2">
      <c r="C1" s="27" t="s">
        <v>15</v>
      </c>
      <c r="K1" s="26"/>
      <c r="L1" s="29">
        <v>24</v>
      </c>
      <c r="M1" s="26"/>
    </row>
    <row r="2" spans="2:13" x14ac:dyDescent="0.2">
      <c r="C2" s="27" t="s">
        <v>8</v>
      </c>
      <c r="D2" s="30"/>
      <c r="E2" s="30"/>
      <c r="F2" s="30"/>
      <c r="G2" s="30"/>
      <c r="H2" s="30"/>
      <c r="I2" s="30"/>
      <c r="K2" s="26"/>
      <c r="L2" s="29">
        <f>L1+2001</f>
        <v>2025</v>
      </c>
      <c r="M2" s="26"/>
    </row>
    <row r="3" spans="2:13" x14ac:dyDescent="0.2">
      <c r="C3" s="27" t="s">
        <v>16</v>
      </c>
      <c r="D3" s="30"/>
      <c r="E3" s="30"/>
      <c r="F3" s="30"/>
      <c r="G3" s="30"/>
      <c r="H3" s="30"/>
      <c r="I3" s="30"/>
      <c r="K3" s="26"/>
      <c r="L3" s="26"/>
      <c r="M3" s="26"/>
    </row>
    <row r="4" spans="2:13" x14ac:dyDescent="0.2">
      <c r="C4" s="27" t="str">
        <f>CONCATENATE("PERÍODO:" &amp; " " &amp; L2)</f>
        <v>PERÍODO: 2025</v>
      </c>
      <c r="K4" s="26"/>
      <c r="L4" s="26"/>
      <c r="M4" s="26"/>
    </row>
    <row r="5" spans="2:13" x14ac:dyDescent="0.2">
      <c r="K5" s="26"/>
      <c r="L5" s="26"/>
      <c r="M5" s="26"/>
    </row>
    <row r="6" spans="2:13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  <c r="K6" s="26"/>
      <c r="L6" s="26"/>
      <c r="M6" s="26"/>
    </row>
    <row r="7" spans="2:13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  <c r="K7" s="26"/>
      <c r="L7" s="26"/>
      <c r="M7" s="26"/>
    </row>
    <row r="8" spans="2:13" x14ac:dyDescent="0.2">
      <c r="B8" s="13" t="str">
        <f>CONCATENATE("Jan","-",MID(TEXT($L$2,0),3,2))</f>
        <v>Jan-25</v>
      </c>
      <c r="C8" s="31">
        <f>IF($G51&lt;$I$52,"",IF($G51&gt;$I$54,"",VLOOKUP($G51,BD_Unidades!$A$6:$G$296,2)))</f>
        <v>3740</v>
      </c>
      <c r="D8" s="32">
        <f>IF($G51&lt;$I$52,"",IF($G51&gt;$I$54,"",VLOOKUP($G51,BD_Unidades!$A$6:$G$296,3)))</f>
        <v>34789</v>
      </c>
      <c r="E8" s="32">
        <f t="shared" ref="E8:E13" si="0">C8+D8</f>
        <v>38529</v>
      </c>
      <c r="F8" s="31">
        <f>IF($G51&lt;$I$52,"",IF($G51&gt;$I$54,"",VLOOKUP($G51,BD_Unidades!$A$6:$G$296,5)))</f>
        <v>925.21555999999998</v>
      </c>
      <c r="G8" s="32">
        <f>IF($G51&lt;$I$52,"",IF($G51&gt;$I$54,"",VLOOKUP($G51,BD_Unidades!$A$6:$G$296,6)))</f>
        <v>12553.981863000001</v>
      </c>
      <c r="H8" s="32">
        <f t="shared" ref="H8:H13" si="1">F8+G8</f>
        <v>13479.197423000001</v>
      </c>
      <c r="K8" s="26"/>
      <c r="L8" s="26"/>
      <c r="M8" s="26"/>
    </row>
    <row r="9" spans="2:13" x14ac:dyDescent="0.2">
      <c r="B9" s="13" t="str">
        <f>CONCATENATE("Fev","-",MID(TEXT($L$2,0),3,2))</f>
        <v>Fev-25</v>
      </c>
      <c r="C9" s="31">
        <f>IF($G52&lt;$I$52,"",IF($G52&gt;$I$54,"",VLOOKUP($G52,BD_Unidades!$A$6:$G$296,2)))</f>
        <v>4505</v>
      </c>
      <c r="D9" s="32">
        <f>IF($G52&lt;$I$52,"",IF($G52&gt;$I$54,"",VLOOKUP($G52,BD_Unidades!$A$6:$G$296,3)))</f>
        <v>31768</v>
      </c>
      <c r="E9" s="32">
        <f t="shared" si="0"/>
        <v>36273</v>
      </c>
      <c r="F9" s="31">
        <f>IF($G52&lt;$I$52,"",IF($G52&gt;$I$54,"",VLOOKUP($G52,BD_Unidades!$A$6:$G$296,5)))</f>
        <v>1259.5894049999999</v>
      </c>
      <c r="G9" s="32">
        <f>IF($G52&lt;$I$52,"",IF($G52&gt;$I$54,"",VLOOKUP($G52,BD_Unidades!$A$6:$G$296,6)))</f>
        <v>11477.550675</v>
      </c>
      <c r="H9" s="32">
        <f t="shared" si="1"/>
        <v>12737.140080000001</v>
      </c>
    </row>
    <row r="10" spans="2:13" x14ac:dyDescent="0.2">
      <c r="B10" s="13" t="str">
        <f>CONCATENATE("Mar","-",MID(TEXT($L$2,0),3,2))</f>
        <v>Mar-25</v>
      </c>
      <c r="C10" s="31">
        <f>IF($G53&lt;$I$52,"",IF($G53&gt;$I$54,"",VLOOKUP($G53,BD_Unidades!$A$6:$G$296,2)))</f>
        <v>0</v>
      </c>
      <c r="D10" s="32">
        <f>IF($G53&lt;$I$52,"",IF($G53&gt;$I$54,"",VLOOKUP($G53,BD_Unidades!$A$6:$G$296,3)))</f>
        <v>0</v>
      </c>
      <c r="E10" s="32">
        <f t="shared" si="0"/>
        <v>0</v>
      </c>
      <c r="F10" s="31">
        <f>IF($G53&lt;$I$52,"",IF($G53&gt;$I$54,"",VLOOKUP($G53,BD_Unidades!$A$6:$G$296,5)))</f>
        <v>0</v>
      </c>
      <c r="G10" s="32">
        <f>IF($G53&lt;$I$52,"",IF($G53&gt;$I$54,"",VLOOKUP($G53,BD_Unidades!$A$6:$G$296,6)))</f>
        <v>0</v>
      </c>
      <c r="H10" s="32">
        <f t="shared" si="1"/>
        <v>0</v>
      </c>
    </row>
    <row r="11" spans="2:13" x14ac:dyDescent="0.2">
      <c r="B11" s="13" t="str">
        <f>CONCATENATE("Abr","-",MID(TEXT($L$2,0),3,2))</f>
        <v>Abr-25</v>
      </c>
      <c r="C11" s="31">
        <f>IF($G54&lt;$I$52,"",IF($G54&gt;$I$54,"",VLOOKUP($G54,BD_Unidades!$A$6:$G$296,2)))</f>
        <v>0</v>
      </c>
      <c r="D11" s="32">
        <f>IF($G54&lt;$I$52,"",IF($G54&gt;$I$54,"",VLOOKUP($G54,BD_Unidades!$A$6:$G$296,3)))</f>
        <v>0</v>
      </c>
      <c r="E11" s="32">
        <f t="shared" si="0"/>
        <v>0</v>
      </c>
      <c r="F11" s="31">
        <f>IF($G54&lt;$I$52,"",IF($G54&gt;$I$54,"",VLOOKUP($G54,BD_Unidades!$A$6:$G$296,5)))</f>
        <v>0</v>
      </c>
      <c r="G11" s="32">
        <f>IF($G54&lt;$I$52,"",IF($G54&gt;$I$54,"",VLOOKUP($G54,BD_Unidades!$A$6:$G$296,6)))</f>
        <v>0</v>
      </c>
      <c r="H11" s="32">
        <f t="shared" si="1"/>
        <v>0</v>
      </c>
    </row>
    <row r="12" spans="2:13" x14ac:dyDescent="0.2">
      <c r="B12" s="13" t="str">
        <f>CONCATENATE("Mai","-",MID(TEXT($L$2,0),3,2))</f>
        <v>Mai-25</v>
      </c>
      <c r="C12" s="31">
        <f>IF($G55&lt;$I$52,"",IF($G55&gt;$I$54,"",VLOOKUP($G55,BD_Unidades!$A$6:$G$296,2)))</f>
        <v>0</v>
      </c>
      <c r="D12" s="32">
        <f>IF($G55&lt;$I$52,"",IF($G55&gt;$I$54,"",VLOOKUP($G55,BD_Unidades!$A$6:$G$296,3)))</f>
        <v>0</v>
      </c>
      <c r="E12" s="32">
        <f t="shared" si="0"/>
        <v>0</v>
      </c>
      <c r="F12" s="31">
        <f>IF($G55&lt;$I$52,"",IF($G55&gt;$I$54,"",VLOOKUP($G55,BD_Unidades!$A$6:$G$296,5)))</f>
        <v>0</v>
      </c>
      <c r="G12" s="32">
        <f>IF($G55&lt;$I$52,"",IF($G55&gt;$I$54,"",VLOOKUP($G55,BD_Unidades!$A$6:$G$296,6)))</f>
        <v>0</v>
      </c>
      <c r="H12" s="32">
        <f t="shared" si="1"/>
        <v>0</v>
      </c>
    </row>
    <row r="13" spans="2:13" x14ac:dyDescent="0.2">
      <c r="B13" s="13" t="str">
        <f>CONCATENATE("Jun","-",MID(TEXT($L$2,0),3,2))</f>
        <v>Jun-25</v>
      </c>
      <c r="C13" s="31">
        <f>IF($G56&lt;$I$52,"",IF($G56&gt;$I$54,"",VLOOKUP($G56,BD_Unidades!$A$6:$G$296,2)))</f>
        <v>0</v>
      </c>
      <c r="D13" s="32">
        <f>IF($G56&lt;$I$52,"",IF($G56&gt;$I$54,"",VLOOKUP($G56,BD_Unidades!$A$6:$G$296,3)))</f>
        <v>0</v>
      </c>
      <c r="E13" s="32">
        <f t="shared" si="0"/>
        <v>0</v>
      </c>
      <c r="F13" s="31">
        <f>IF($G56&lt;$I$52,"",IF($G56&gt;$I$54,"",VLOOKUP($G56,BD_Unidades!$A$6:$G$296,5)))</f>
        <v>0</v>
      </c>
      <c r="G13" s="32">
        <f>IF($G56&lt;$I$52,"",IF($G56&gt;$I$54,"",VLOOKUP($G56,BD_Unidades!$A$6:$G$296,6)))</f>
        <v>0</v>
      </c>
      <c r="H13" s="32">
        <f t="shared" si="1"/>
        <v>0</v>
      </c>
    </row>
    <row r="14" spans="2:13" x14ac:dyDescent="0.2">
      <c r="B14" s="13" t="str">
        <f>CONCATENATE("Jul","-",MID(TEXT($L$2,0),3,2))</f>
        <v>Jul-25</v>
      </c>
      <c r="C14" s="31">
        <f>IF($G57&lt;$I$52,"",IF($G57&gt;$I$54,"",VLOOKUP($G57,BD_Unidades!$A$6:$G$296,2)))</f>
        <v>0</v>
      </c>
      <c r="D14" s="32">
        <f>IF($G57&lt;$I$52,"",IF($G57&gt;$I$54,"",VLOOKUP($G57,BD_Unidades!$A$6:$G$296,3)))</f>
        <v>0</v>
      </c>
      <c r="E14" s="32">
        <f t="shared" ref="E14:E19" si="2">C14+D14</f>
        <v>0</v>
      </c>
      <c r="F14" s="31">
        <f>IF($G57&lt;$I$52,"",IF($G57&gt;$I$54,"",VLOOKUP($G57,BD_Unidades!$A$6:$G$296,5)))</f>
        <v>0</v>
      </c>
      <c r="G14" s="32">
        <f>IF($G57&lt;$I$52,"",IF($G57&gt;$I$54,"",VLOOKUP($G57,BD_Unidades!$A$6:$G$296,6)))</f>
        <v>0</v>
      </c>
      <c r="H14" s="32">
        <f t="shared" ref="H14:H19" si="3">F14+G14</f>
        <v>0</v>
      </c>
    </row>
    <row r="15" spans="2:13" x14ac:dyDescent="0.2">
      <c r="B15" s="13" t="str">
        <f>CONCATENATE("Ago","-",MID(TEXT($L$2,0),3,2))</f>
        <v>Ago-25</v>
      </c>
      <c r="C15" s="31">
        <f>IF($G58&lt;$I$52,"",IF($G58&gt;$I$54,"",VLOOKUP($G58,BD_Unidades!$A$6:$G$296,2)))</f>
        <v>0</v>
      </c>
      <c r="D15" s="32">
        <f>IF($G58&lt;$I$52,"",IF($G58&gt;$I$54,"",VLOOKUP($G58,BD_Unidades!$A$6:$G$296,3)))</f>
        <v>0</v>
      </c>
      <c r="E15" s="32">
        <f t="shared" si="2"/>
        <v>0</v>
      </c>
      <c r="F15" s="31">
        <f>IF($G58&lt;$I$52,"",IF($G58&gt;$I$54,"",VLOOKUP($G58,BD_Unidades!$A$6:$G$296,5)))</f>
        <v>0</v>
      </c>
      <c r="G15" s="32">
        <f>IF($G58&lt;$I$52,"",IF($G58&gt;$I$54,"",VLOOKUP($G58,BD_Unidades!$A$6:$G$296,6)))</f>
        <v>0</v>
      </c>
      <c r="H15" s="32">
        <f t="shared" si="3"/>
        <v>0</v>
      </c>
    </row>
    <row r="16" spans="2:13" x14ac:dyDescent="0.2">
      <c r="B16" s="13" t="str">
        <f>CONCATENATE("Set","-",MID(TEXT($L$2,0),3,2))</f>
        <v>Set-25</v>
      </c>
      <c r="C16" s="31">
        <f>IF($G59&lt;$I$52,"",IF($G59&gt;$I$54,"",VLOOKUP($G59,BD_Unidades!$A$6:$G$296,2)))</f>
        <v>0</v>
      </c>
      <c r="D16" s="32">
        <f>IF($G59&lt;$I$52,"",IF($G59&gt;$I$54,"",VLOOKUP($G59,BD_Unidades!$A$6:$G$296,3)))</f>
        <v>0</v>
      </c>
      <c r="E16" s="32">
        <f t="shared" si="2"/>
        <v>0</v>
      </c>
      <c r="F16" s="31">
        <f>IF($G59&lt;$I$52,"",IF($G59&gt;$I$54,"",VLOOKUP($G59,BD_Unidades!$A$6:$G$296,5)))</f>
        <v>0</v>
      </c>
      <c r="G16" s="32">
        <f>IF($G59&lt;$I$52,"",IF($G59&gt;$I$54,"",VLOOKUP($G59,BD_Unidades!$A$6:$G$296,6)))</f>
        <v>0</v>
      </c>
      <c r="H16" s="32">
        <f t="shared" si="3"/>
        <v>0</v>
      </c>
    </row>
    <row r="17" spans="2:11" x14ac:dyDescent="0.2">
      <c r="B17" s="13" t="str">
        <f>CONCATENATE("Out","-",MID(TEXT($L$2,0),3,2))</f>
        <v>Out-25</v>
      </c>
      <c r="C17" s="31">
        <f>IF($G60&lt;$I$52,"",IF($G60&gt;$I$54,"",VLOOKUP($G60,BD_Unidades!$A$6:$G$296,2)))</f>
        <v>0</v>
      </c>
      <c r="D17" s="32">
        <f>IF($G60&lt;$I$52,"",IF($G60&gt;$I$54,"",VLOOKUP($G60,BD_Unidades!$A$6:$G$296,3)))</f>
        <v>0</v>
      </c>
      <c r="E17" s="32">
        <f t="shared" si="2"/>
        <v>0</v>
      </c>
      <c r="F17" s="31">
        <f>IF($G60&lt;$I$52,"",IF($G60&gt;$I$54,"",VLOOKUP($G60,BD_Unidades!$A$6:$G$296,5)))</f>
        <v>0</v>
      </c>
      <c r="G17" s="32">
        <f>IF($G60&lt;$I$52,"",IF($G60&gt;$I$54,"",VLOOKUP($G60,BD_Unidades!$A$6:$G$296,6)))</f>
        <v>0</v>
      </c>
      <c r="H17" s="32">
        <f t="shared" si="3"/>
        <v>0</v>
      </c>
    </row>
    <row r="18" spans="2:11" x14ac:dyDescent="0.2">
      <c r="B18" s="13" t="str">
        <f>CONCATENATE("Nov","-",MID(TEXT($L$2,0),3,2))</f>
        <v>Nov-25</v>
      </c>
      <c r="C18" s="31">
        <f>IF($G61&lt;$I$52,"",IF($G61&gt;$I$54,"",VLOOKUP($G61,BD_Unidades!$A$6:$G$296,2)))</f>
        <v>0</v>
      </c>
      <c r="D18" s="32">
        <f>IF($G61&lt;$I$52,"",IF($G61&gt;$I$54,"",VLOOKUP($G61,BD_Unidades!$A$6:$G$296,3)))</f>
        <v>0</v>
      </c>
      <c r="E18" s="32">
        <f t="shared" si="2"/>
        <v>0</v>
      </c>
      <c r="F18" s="31">
        <f>IF($G61&lt;$I$52,"",IF($G61&gt;$I$54,"",VLOOKUP($G61,BD_Unidades!$A$6:$G$296,5)))</f>
        <v>0</v>
      </c>
      <c r="G18" s="32">
        <f>IF($G61&lt;$I$52,"",IF($G61&gt;$I$54,"",VLOOKUP($G61,BD_Unidades!$A$6:$G$296,6)))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Dez-25</v>
      </c>
      <c r="C19" s="31">
        <f>IF($G62&lt;$I$52,"",IF($G62&gt;$I$54,"",VLOOKUP($G62,BD_Unidades!$A$6:$G$296,2)))</f>
        <v>0</v>
      </c>
      <c r="D19" s="32">
        <f>IF($G62&lt;$I$52,"",IF($G62&gt;$I$54,"",VLOOKUP($G62,BD_Unidades!$A$6:$G$296,3)))</f>
        <v>0</v>
      </c>
      <c r="E19" s="32">
        <f t="shared" si="2"/>
        <v>0</v>
      </c>
      <c r="F19" s="31">
        <f>IF($G62&lt;$I$52,"",IF($G62&gt;$I$54,"",VLOOKUP($G62,BD_Unidades!$A$6:$G$296,5)))</f>
        <v>0</v>
      </c>
      <c r="G19" s="32">
        <f>IF($G62&lt;$I$52,"",IF($G62&gt;$I$54,"",VLOOKUP($G62,BD_Unidades!$A$6:$G$296,6)))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2025</v>
      </c>
      <c r="C20" s="53">
        <f t="shared" ref="C20:H20" si="4">SUM(C8:C19)</f>
        <v>8245</v>
      </c>
      <c r="D20" s="53">
        <f t="shared" si="4"/>
        <v>66557</v>
      </c>
      <c r="E20" s="53">
        <f t="shared" si="4"/>
        <v>74802</v>
      </c>
      <c r="F20" s="53">
        <f t="shared" si="4"/>
        <v>2184.8049649999998</v>
      </c>
      <c r="G20" s="53">
        <f t="shared" si="4"/>
        <v>24031.532537999999</v>
      </c>
      <c r="H20" s="54">
        <f t="shared" si="4"/>
        <v>26216.337503000002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2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2025</v>
      </c>
      <c r="D25" s="50"/>
      <c r="E25" s="49"/>
      <c r="G25" s="29"/>
      <c r="H25" s="51" t="str">
        <f>CONCATENATE("       Valores Financiados: ",$L$2)</f>
        <v xml:space="preserve">       Valores Financiados: 2025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1/1/2025</v>
      </c>
      <c r="G51" s="59">
        <f t="shared" ref="G51:G59" si="5">DATE(RIGHT(F51,4),MID(F51,3,1),LEFT(F51,1))</f>
        <v>45658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1/2/2025</v>
      </c>
      <c r="G52" s="59">
        <f t="shared" si="5"/>
        <v>45689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1/3/2025</v>
      </c>
      <c r="G53" s="59">
        <f t="shared" si="5"/>
        <v>45717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1/4/2025</v>
      </c>
      <c r="G54" s="59">
        <f t="shared" si="5"/>
        <v>45748</v>
      </c>
      <c r="H54" s="26"/>
      <c r="I54" s="62">
        <f>BD_Unidades!$A$293</f>
        <v>45992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1/5/2025</v>
      </c>
      <c r="G55" s="59">
        <f t="shared" si="5"/>
        <v>45778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1/6/2025</v>
      </c>
      <c r="G56" s="59">
        <f t="shared" si="5"/>
        <v>45809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1/7/2025</v>
      </c>
      <c r="G57" s="59">
        <f t="shared" si="5"/>
        <v>45839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1/8/2025</v>
      </c>
      <c r="G58" s="59">
        <f t="shared" si="5"/>
        <v>45870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1/9/2025</v>
      </c>
      <c r="G59" s="59">
        <f t="shared" si="5"/>
        <v>45901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1/10/2025</v>
      </c>
      <c r="G60" s="59">
        <f>DATE(RIGHT(F60,4),MID(F60,3,2),LEFT(F60,1))</f>
        <v>45931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1/11/2025</v>
      </c>
      <c r="G61" s="59">
        <f>DATE(RIGHT(F61,4),MID(F61,3,2),LEFT(F61,1))</f>
        <v>45962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1/12/2025</v>
      </c>
      <c r="G62" s="59">
        <f>DATE(RIGHT(F62,4),MID(F62,3,2),LEFT(F62,1))</f>
        <v>45992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7" x14ac:dyDescent="0.2">
      <c r="C65" s="26">
        <v>2016</v>
      </c>
      <c r="J65" s="26"/>
      <c r="K65" s="26"/>
      <c r="L65" s="26"/>
      <c r="M65" s="26"/>
      <c r="N65" s="26"/>
      <c r="O65" s="15"/>
      <c r="P65" s="15"/>
      <c r="Q65" s="15"/>
    </row>
    <row r="66" spans="1:17" x14ac:dyDescent="0.2">
      <c r="C66" s="26">
        <v>2017</v>
      </c>
      <c r="J66" s="26"/>
      <c r="K66" s="26"/>
      <c r="L66" s="26"/>
      <c r="M66" s="26"/>
      <c r="N66" s="26"/>
      <c r="O66" s="15"/>
      <c r="P66" s="15"/>
      <c r="Q66" s="15"/>
    </row>
    <row r="67" spans="1:17" x14ac:dyDescent="0.2">
      <c r="C67" s="26">
        <v>2018</v>
      </c>
      <c r="J67" s="26"/>
      <c r="K67" s="26"/>
      <c r="L67" s="26"/>
      <c r="M67" s="26"/>
      <c r="N67" s="26"/>
      <c r="O67" s="15"/>
      <c r="P67" s="15"/>
      <c r="Q67" s="15"/>
    </row>
    <row r="68" spans="1:17" x14ac:dyDescent="0.2">
      <c r="C68" s="26">
        <v>2019</v>
      </c>
      <c r="J68" s="26"/>
      <c r="K68" s="26"/>
      <c r="L68" s="26"/>
      <c r="M68" s="26"/>
      <c r="N68" s="26"/>
      <c r="O68" s="15"/>
      <c r="P68" s="15"/>
      <c r="Q68" s="15"/>
    </row>
    <row r="69" spans="1:17" x14ac:dyDescent="0.2">
      <c r="C69" s="26">
        <v>2020</v>
      </c>
      <c r="J69" s="26"/>
      <c r="K69" s="26"/>
      <c r="L69" s="26"/>
      <c r="M69" s="26"/>
      <c r="N69" s="26"/>
      <c r="O69" s="15"/>
      <c r="P69" s="15"/>
      <c r="Q69" s="15"/>
    </row>
    <row r="70" spans="1:17" x14ac:dyDescent="0.2">
      <c r="C70" s="26">
        <v>2021</v>
      </c>
      <c r="J70" s="26"/>
      <c r="K70" s="26"/>
      <c r="L70" s="26"/>
      <c r="M70" s="26"/>
      <c r="N70" s="26"/>
      <c r="O70" s="15"/>
      <c r="P70" s="15"/>
      <c r="Q70" s="15"/>
    </row>
    <row r="71" spans="1:17" x14ac:dyDescent="0.2">
      <c r="C71" s="26">
        <v>2022</v>
      </c>
      <c r="J71" s="26"/>
      <c r="K71" s="26"/>
      <c r="L71" s="26"/>
      <c r="M71" s="26"/>
      <c r="N71" s="26"/>
      <c r="O71" s="15"/>
      <c r="P71" s="15"/>
      <c r="Q71" s="15"/>
    </row>
    <row r="72" spans="1:17" x14ac:dyDescent="0.2">
      <c r="C72" s="26">
        <v>2023</v>
      </c>
      <c r="J72" s="26"/>
      <c r="K72" s="26"/>
      <c r="L72" s="26"/>
      <c r="M72" s="26"/>
      <c r="N72" s="26"/>
      <c r="O72" s="15"/>
      <c r="P72" s="15"/>
      <c r="Q72" s="15"/>
    </row>
    <row r="73" spans="1:17" x14ac:dyDescent="0.2">
      <c r="C73" s="26">
        <v>2024</v>
      </c>
      <c r="J73" s="26"/>
      <c r="K73" s="26"/>
      <c r="L73" s="26"/>
      <c r="M73" s="26"/>
      <c r="N73" s="26"/>
      <c r="O73" s="15"/>
      <c r="P73" s="15"/>
      <c r="Q73" s="15"/>
    </row>
    <row r="74" spans="1:17" s="64" customFormat="1" ht="15" x14ac:dyDescent="0.25">
      <c r="A74" s="63"/>
      <c r="B74" s="63"/>
      <c r="C74" s="26">
        <v>2025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7" x14ac:dyDescent="0.2">
      <c r="J75" s="26"/>
      <c r="K75" s="26"/>
      <c r="L75" s="26"/>
      <c r="M75" s="26"/>
      <c r="N75" s="26"/>
      <c r="O75" s="15"/>
      <c r="P75" s="15"/>
      <c r="Q75" s="15"/>
    </row>
    <row r="76" spans="1:17" x14ac:dyDescent="0.2">
      <c r="I76" s="65"/>
      <c r="J76" s="26"/>
      <c r="K76" s="26"/>
      <c r="L76" s="26"/>
      <c r="M76" s="26"/>
      <c r="N76" s="26"/>
      <c r="O76" s="15"/>
      <c r="P76" s="15"/>
      <c r="Q76" s="15"/>
    </row>
    <row r="77" spans="1:17" x14ac:dyDescent="0.2">
      <c r="I77" s="66"/>
      <c r="J77" s="26"/>
      <c r="K77" s="26"/>
      <c r="L77" s="26"/>
      <c r="M77" s="26"/>
      <c r="N77" s="26"/>
      <c r="O77" s="15"/>
      <c r="P77" s="15"/>
      <c r="Q77" s="15"/>
    </row>
    <row r="78" spans="1:17" x14ac:dyDescent="0.2">
      <c r="J78" s="26"/>
      <c r="K78" s="26"/>
      <c r="L78" s="26"/>
      <c r="M78" s="26"/>
      <c r="N78" s="26"/>
      <c r="O78" s="15"/>
      <c r="P78" s="15"/>
      <c r="Q78" s="15"/>
    </row>
    <row r="79" spans="1:17" x14ac:dyDescent="0.2">
      <c r="J79" s="26"/>
      <c r="K79" s="26"/>
      <c r="L79" s="26"/>
      <c r="M79" s="26"/>
      <c r="N79" s="26"/>
      <c r="O79" s="15"/>
      <c r="P79" s="15"/>
      <c r="Q79" s="15"/>
    </row>
    <row r="80" spans="1:17" x14ac:dyDescent="0.2">
      <c r="J80" s="26"/>
      <c r="K80" s="26"/>
      <c r="L80" s="26"/>
      <c r="M80" s="26"/>
      <c r="N80" s="26"/>
      <c r="O80" s="15"/>
      <c r="P80" s="15"/>
      <c r="Q80" s="15"/>
    </row>
    <row r="81" spans="10:17" x14ac:dyDescent="0.2">
      <c r="J81" s="26"/>
      <c r="K81" s="26"/>
      <c r="L81" s="26"/>
      <c r="M81" s="26"/>
      <c r="N81" s="26"/>
      <c r="O81" s="15"/>
      <c r="P81" s="15"/>
      <c r="Q81" s="15"/>
    </row>
    <row r="82" spans="10:17" x14ac:dyDescent="0.2">
      <c r="J82" s="26"/>
      <c r="K82" s="26"/>
      <c r="L82" s="26"/>
      <c r="M82" s="26"/>
      <c r="N82" s="26"/>
      <c r="O82" s="15"/>
      <c r="P82" s="15"/>
      <c r="Q82" s="15"/>
    </row>
    <row r="83" spans="10:17" x14ac:dyDescent="0.2">
      <c r="J83" s="26"/>
      <c r="K83" s="26"/>
      <c r="L83" s="26"/>
      <c r="M83" s="26"/>
      <c r="N83" s="26"/>
      <c r="O83" s="15"/>
      <c r="P83" s="15"/>
      <c r="Q83" s="15"/>
    </row>
    <row r="84" spans="10:17" x14ac:dyDescent="0.2">
      <c r="J84" s="26"/>
      <c r="K84" s="26"/>
      <c r="L84" s="26"/>
      <c r="M84" s="26"/>
      <c r="N84" s="26"/>
      <c r="O84" s="15"/>
      <c r="P84" s="15"/>
      <c r="Q84" s="15"/>
    </row>
    <row r="85" spans="10:17" x14ac:dyDescent="0.2">
      <c r="J85" s="26"/>
      <c r="K85" s="26"/>
      <c r="L85" s="26"/>
      <c r="M85" s="26"/>
      <c r="N85" s="26"/>
      <c r="O85" s="15"/>
      <c r="P85" s="15"/>
      <c r="Q85" s="15"/>
    </row>
    <row r="86" spans="10:17" x14ac:dyDescent="0.2">
      <c r="J86" s="26"/>
      <c r="K86" s="26"/>
      <c r="L86" s="26"/>
      <c r="M86" s="26"/>
      <c r="N86" s="26"/>
      <c r="O86" s="15"/>
      <c r="P86" s="15"/>
      <c r="Q86" s="15"/>
    </row>
    <row r="87" spans="10:17" x14ac:dyDescent="0.2">
      <c r="J87" s="26"/>
      <c r="K87" s="26"/>
      <c r="L87" s="26"/>
      <c r="M87" s="26"/>
      <c r="N87" s="26"/>
      <c r="O87" s="15"/>
      <c r="P87" s="15"/>
      <c r="Q87" s="15"/>
    </row>
    <row r="88" spans="10:17" x14ac:dyDescent="0.2">
      <c r="J88" s="26"/>
      <c r="K88" s="26"/>
      <c r="L88" s="26"/>
      <c r="M88" s="26"/>
      <c r="N88" s="26"/>
      <c r="O88" s="15"/>
      <c r="P88" s="15"/>
      <c r="Q88" s="15"/>
    </row>
    <row r="89" spans="10:17" x14ac:dyDescent="0.2">
      <c r="J89" s="26"/>
      <c r="K89" s="26"/>
      <c r="L89" s="26"/>
      <c r="M89" s="26"/>
      <c r="N89" s="26"/>
      <c r="O89" s="15"/>
      <c r="P89" s="15"/>
      <c r="Q89" s="15"/>
    </row>
    <row r="90" spans="10:17" x14ac:dyDescent="0.2">
      <c r="J90" s="26"/>
      <c r="K90" s="26"/>
      <c r="L90" s="26"/>
      <c r="M90" s="26"/>
      <c r="N90" s="26"/>
      <c r="O90" s="15"/>
      <c r="P90" s="15"/>
      <c r="Q90" s="15"/>
    </row>
    <row r="91" spans="10:17" x14ac:dyDescent="0.2">
      <c r="J91" s="26"/>
      <c r="K91" s="26"/>
      <c r="L91" s="26"/>
      <c r="M91" s="26"/>
      <c r="N91" s="26"/>
      <c r="O91" s="15"/>
      <c r="P91" s="15"/>
      <c r="Q91" s="15"/>
    </row>
    <row r="92" spans="10:17" x14ac:dyDescent="0.2">
      <c r="J92" s="26"/>
      <c r="K92" s="26"/>
      <c r="L92" s="26"/>
      <c r="M92" s="26"/>
      <c r="N92" s="26"/>
      <c r="O92" s="15"/>
      <c r="P92" s="15"/>
      <c r="Q92" s="15"/>
    </row>
    <row r="93" spans="10:17" x14ac:dyDescent="0.2">
      <c r="J93" s="26"/>
      <c r="K93" s="26"/>
      <c r="L93" s="26"/>
      <c r="M93" s="26"/>
      <c r="N93" s="26"/>
      <c r="O93" s="15"/>
      <c r="P93" s="15"/>
      <c r="Q93" s="15"/>
    </row>
    <row r="94" spans="10:17" x14ac:dyDescent="0.2">
      <c r="J94" s="26"/>
      <c r="K94" s="26"/>
      <c r="L94" s="26"/>
      <c r="M94" s="26"/>
      <c r="N94" s="26"/>
      <c r="O94" s="15"/>
      <c r="P94" s="15"/>
      <c r="Q94" s="15"/>
    </row>
    <row r="95" spans="10:17" x14ac:dyDescent="0.2">
      <c r="J95" s="26"/>
      <c r="K95" s="26"/>
      <c r="L95" s="26"/>
      <c r="M95" s="26"/>
      <c r="N95" s="26"/>
      <c r="O95" s="15"/>
      <c r="P95" s="15"/>
      <c r="Q95" s="15"/>
    </row>
    <row r="96" spans="10:17" x14ac:dyDescent="0.2">
      <c r="J96" s="26"/>
      <c r="K96" s="26"/>
      <c r="L96" s="26"/>
      <c r="M96" s="26"/>
      <c r="N96" s="26"/>
      <c r="O96" s="15"/>
      <c r="P96" s="15"/>
      <c r="Q96" s="15"/>
    </row>
    <row r="97" spans="1:17" x14ac:dyDescent="0.2">
      <c r="J97" s="26"/>
      <c r="K97" s="26"/>
      <c r="L97" s="26"/>
      <c r="M97" s="26"/>
      <c r="N97" s="26"/>
      <c r="O97" s="15"/>
      <c r="P97" s="15"/>
      <c r="Q97" s="15"/>
    </row>
    <row r="98" spans="1:17" x14ac:dyDescent="0.2">
      <c r="J98" s="26"/>
      <c r="K98" s="26"/>
      <c r="L98" s="26"/>
      <c r="M98" s="26"/>
      <c r="N98" s="26"/>
      <c r="O98" s="15"/>
      <c r="P98" s="15"/>
      <c r="Q98" s="15"/>
    </row>
    <row r="99" spans="1:17" x14ac:dyDescent="0.2">
      <c r="J99" s="26"/>
      <c r="K99" s="26"/>
      <c r="L99" s="26"/>
      <c r="M99" s="26"/>
      <c r="N99" s="26"/>
      <c r="O99" s="15"/>
      <c r="P99" s="15"/>
      <c r="Q99" s="15"/>
    </row>
    <row r="100" spans="1:17" x14ac:dyDescent="0.2">
      <c r="J100" s="26"/>
      <c r="K100" s="26"/>
      <c r="L100" s="26"/>
      <c r="M100" s="26"/>
      <c r="N100" s="26"/>
      <c r="O100" s="15"/>
      <c r="P100" s="15"/>
      <c r="Q100" s="15"/>
    </row>
    <row r="101" spans="1:17" x14ac:dyDescent="0.2">
      <c r="J101" s="26"/>
      <c r="K101" s="26"/>
      <c r="L101" s="26"/>
      <c r="M101" s="26"/>
      <c r="N101" s="26"/>
      <c r="O101" s="15"/>
      <c r="P101" s="15"/>
      <c r="Q101" s="15"/>
    </row>
    <row r="102" spans="1:17" x14ac:dyDescent="0.2">
      <c r="J102" s="26"/>
      <c r="K102" s="26"/>
      <c r="L102" s="26"/>
      <c r="M102" s="26"/>
      <c r="N102" s="26"/>
      <c r="O102" s="15"/>
      <c r="P102" s="15"/>
      <c r="Q102" s="15"/>
    </row>
    <row r="103" spans="1:17" x14ac:dyDescent="0.2">
      <c r="J103" s="26"/>
      <c r="K103" s="26"/>
      <c r="L103" s="26"/>
      <c r="M103" s="26"/>
      <c r="N103" s="26"/>
      <c r="O103" s="15"/>
      <c r="P103" s="15"/>
      <c r="Q103" s="15"/>
    </row>
    <row r="104" spans="1:17" x14ac:dyDescent="0.2">
      <c r="J104" s="26"/>
      <c r="K104" s="26"/>
      <c r="L104" s="26"/>
      <c r="M104" s="26"/>
      <c r="N104" s="26"/>
      <c r="O104" s="15"/>
      <c r="P104" s="15"/>
      <c r="Q104" s="15"/>
    </row>
    <row r="105" spans="1:17" x14ac:dyDescent="0.2">
      <c r="J105" s="26"/>
      <c r="K105" s="26"/>
      <c r="L105" s="26"/>
      <c r="M105" s="26"/>
      <c r="N105" s="26"/>
      <c r="O105" s="15"/>
      <c r="P105" s="15"/>
      <c r="Q105" s="15"/>
    </row>
    <row r="106" spans="1:17" x14ac:dyDescent="0.2">
      <c r="J106" s="26"/>
      <c r="K106" s="26"/>
      <c r="L106" s="26"/>
      <c r="M106" s="26"/>
      <c r="N106" s="26"/>
      <c r="O106" s="15"/>
      <c r="P106" s="15"/>
      <c r="Q106" s="15"/>
    </row>
    <row r="107" spans="1:17" x14ac:dyDescent="0.2">
      <c r="J107" s="26"/>
      <c r="K107" s="26"/>
      <c r="L107" s="26"/>
      <c r="M107" s="26"/>
      <c r="N107" s="26"/>
      <c r="O107" s="15"/>
      <c r="P107" s="15"/>
      <c r="Q107" s="15"/>
    </row>
    <row r="108" spans="1:17" x14ac:dyDescent="0.2">
      <c r="J108" s="26"/>
      <c r="K108" s="26"/>
      <c r="L108" s="26"/>
      <c r="M108" s="26"/>
      <c r="N108" s="26"/>
      <c r="O108" s="15"/>
      <c r="P108" s="15"/>
      <c r="Q108" s="15"/>
    </row>
    <row r="109" spans="1:17" x14ac:dyDescent="0.2">
      <c r="J109" s="26"/>
      <c r="K109" s="26"/>
      <c r="L109" s="26"/>
      <c r="M109" s="26"/>
      <c r="N109" s="26"/>
      <c r="O109" s="15"/>
      <c r="P109" s="15"/>
      <c r="Q109" s="15"/>
    </row>
    <row r="110" spans="1:17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7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7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4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45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28"/>
      <c r="D189" s="28"/>
      <c r="E189" s="28"/>
      <c r="F189" s="28"/>
      <c r="G189" s="28"/>
      <c r="H189" s="28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46"/>
      <c r="D190" s="46"/>
      <c r="E190" s="46"/>
      <c r="F190" s="47"/>
      <c r="G190" s="47"/>
      <c r="H190" s="47"/>
      <c r="I190" s="44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48"/>
      <c r="I191" s="28"/>
      <c r="J191" s="28"/>
      <c r="K191" s="28"/>
      <c r="L191" s="28"/>
      <c r="M191" s="28"/>
      <c r="N191" s="28"/>
    </row>
    <row r="192" spans="1:14" s="25" customForma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e55bd53efa8d3482af85711ab4228bab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e75a285b38dd0264128213b5c46655c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33EE2-9D73-41AD-9F2D-144EFFD8432E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ce50f6f7-abf6-49b9-b4c9-2ea63774b93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f4bcf983-2136-4c42-9108-b73acbb23e9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15AC1-6D5F-4F1D-98E9-CDAAED4B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2025-03-26T11:16:07Z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